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externalReferences>
    <externalReference r:id="rId11"/>
  </externalReference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<sst xmlns="http://schemas.openxmlformats.org/spreadsheetml/2006/main" count="1024" uniqueCount="187">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</sst>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82" fillId="0" borderId="21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6" xfId="0" applyNumberFormat="1" applyFont="1" applyFill="1" applyBorder="1" applyAlignment="1" applyProtection="1">
      <alignment horizontal="center" vertical="center" wrapText="1"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0">
        <row r="6">
          <cell r="G6">
            <v>4.73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0" sqref="D9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185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183</v>
      </c>
      <c r="N3" s="281" t="s">
        <v>184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179</v>
      </c>
      <c r="F4" s="264" t="s">
        <v>34</v>
      </c>
      <c r="G4" s="258" t="s">
        <v>180</v>
      </c>
      <c r="H4" s="266" t="s">
        <v>181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186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67.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182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468235.17999999993</v>
      </c>
      <c r="G8" s="191">
        <f aca="true" t="shared" si="0" ref="G8:G36">F8-E8</f>
        <v>-31301.100000000093</v>
      </c>
      <c r="H8" s="192">
        <f>F8/E8*100</f>
        <v>93.73396863186792</v>
      </c>
      <c r="I8" s="193">
        <f>F8-D8</f>
        <v>-372814.82000000007</v>
      </c>
      <c r="J8" s="193">
        <f>F8/D8*100</f>
        <v>55.67269246774864</v>
      </c>
      <c r="K8" s="191">
        <f>F8-366772.22</f>
        <v>101462.95999999996</v>
      </c>
      <c r="L8" s="191">
        <f>F8/366722.22*100</f>
        <v>127.68115878007065</v>
      </c>
      <c r="M8" s="191">
        <f>M9+M15+M18+M19+M20+M17</f>
        <v>79300.50000000003</v>
      </c>
      <c r="N8" s="191">
        <f>N9+N15+N18+N19+N20+N17</f>
        <v>2723.7499999999636</v>
      </c>
      <c r="O8" s="191">
        <f>N8-M8</f>
        <v>-76576.75000000006</v>
      </c>
      <c r="P8" s="191">
        <f>N8/M8*100</f>
        <v>3.434719831526866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260386.2</v>
      </c>
      <c r="G9" s="190">
        <f t="shared" si="0"/>
        <v>-3338.070000000007</v>
      </c>
      <c r="H9" s="197">
        <f>F9/E9*100</f>
        <v>98.73425756378053</v>
      </c>
      <c r="I9" s="198">
        <f>F9-D9</f>
        <v>-199313.8</v>
      </c>
      <c r="J9" s="198">
        <f>F9/D9*100</f>
        <v>56.642636502066566</v>
      </c>
      <c r="K9" s="199">
        <f>F9-203434.44</f>
        <v>56951.76000000001</v>
      </c>
      <c r="L9" s="199">
        <f>F9/203434.44*100</f>
        <v>127.99514182554341</v>
      </c>
      <c r="M9" s="197">
        <f>E9-червень!E9</f>
        <v>39820.00000000003</v>
      </c>
      <c r="N9" s="200">
        <f>F9-червень!F9</f>
        <v>-1056.3399999999965</v>
      </c>
      <c r="O9" s="201">
        <f>N9-M9</f>
        <v>-40876.340000000026</v>
      </c>
      <c r="P9" s="198">
        <f>N9/M9*100</f>
        <v>-2.6527875439477544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227989.85</v>
      </c>
      <c r="G10" s="109">
        <f t="shared" si="0"/>
        <v>-6025.989999999991</v>
      </c>
      <c r="H10" s="32">
        <f aca="true" t="shared" si="1" ref="H10:H35">F10/E10*100</f>
        <v>97.42496490835835</v>
      </c>
      <c r="I10" s="110">
        <f aca="true" t="shared" si="2" ref="I10:I36">F10-D10</f>
        <v>-183450.15</v>
      </c>
      <c r="J10" s="110">
        <f aca="true" t="shared" si="3" ref="J10:J35">F10/D10*100</f>
        <v>55.41266041221077</v>
      </c>
      <c r="K10" s="112">
        <f>F10-180069.97</f>
        <v>47919.880000000005</v>
      </c>
      <c r="L10" s="112">
        <f>F10/180069.97*100</f>
        <v>126.61181095326444</v>
      </c>
      <c r="M10" s="111">
        <f>E10-червень!E10</f>
        <v>34720</v>
      </c>
      <c r="N10" s="179">
        <f>F10-червень!F10</f>
        <v>-3278.5599999999977</v>
      </c>
      <c r="O10" s="112">
        <f aca="true" t="shared" si="4" ref="O10:O36">N10-M10</f>
        <v>-37998.56</v>
      </c>
      <c r="P10" s="198">
        <f aca="true" t="shared" si="5" ref="P10:P16">N10/M10*100</f>
        <v>-9.442857142857136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18032.25</v>
      </c>
      <c r="G11" s="109">
        <f t="shared" si="0"/>
        <v>2117.3099999999995</v>
      </c>
      <c r="H11" s="32">
        <f t="shared" si="1"/>
        <v>113.30391443511567</v>
      </c>
      <c r="I11" s="110">
        <f t="shared" si="2"/>
        <v>-4967.75</v>
      </c>
      <c r="J11" s="110">
        <f t="shared" si="3"/>
        <v>78.40108695652174</v>
      </c>
      <c r="K11" s="112">
        <f>F11-10791.39</f>
        <v>7240.860000000001</v>
      </c>
      <c r="L11" s="112">
        <f>F11/10791.39*100</f>
        <v>167.09849240922625</v>
      </c>
      <c r="M11" s="111">
        <f>E11-червень!E11</f>
        <v>1750</v>
      </c>
      <c r="N11" s="179">
        <f>F11-червень!F11</f>
        <v>0</v>
      </c>
      <c r="O11" s="112">
        <f t="shared" si="4"/>
        <v>-1750</v>
      </c>
      <c r="P11" s="198">
        <f t="shared" si="5"/>
        <v>0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5319.77</v>
      </c>
      <c r="G12" s="109">
        <f t="shared" si="0"/>
        <v>2049.1600000000003</v>
      </c>
      <c r="H12" s="32">
        <f t="shared" si="1"/>
        <v>162.65375572140977</v>
      </c>
      <c r="I12" s="110">
        <f t="shared" si="2"/>
        <v>-1180.2299999999996</v>
      </c>
      <c r="J12" s="110">
        <f t="shared" si="3"/>
        <v>81.84261538461539</v>
      </c>
      <c r="K12" s="112">
        <f>F12-3052.92</f>
        <v>2266.8500000000004</v>
      </c>
      <c r="L12" s="112">
        <f>F12/3052.92*100</f>
        <v>174.2518637894213</v>
      </c>
      <c r="M12" s="111">
        <f>E12-червень!E12</f>
        <v>550</v>
      </c>
      <c r="N12" s="179">
        <f>F12-червень!F12</f>
        <v>31.110000000000582</v>
      </c>
      <c r="O12" s="112">
        <f t="shared" si="4"/>
        <v>-518.8899999999994</v>
      </c>
      <c r="P12" s="198">
        <f t="shared" si="5"/>
        <v>5.656363636363742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4472.08</v>
      </c>
      <c r="G13" s="109">
        <f t="shared" si="0"/>
        <v>-2292.76</v>
      </c>
      <c r="H13" s="32">
        <f t="shared" si="1"/>
        <v>66.10769803868236</v>
      </c>
      <c r="I13" s="110">
        <f t="shared" si="2"/>
        <v>-7927.92</v>
      </c>
      <c r="J13" s="110">
        <f t="shared" si="3"/>
        <v>36.06516129032258</v>
      </c>
      <c r="K13" s="112">
        <f>F13-4060.02</f>
        <v>412.05999999999995</v>
      </c>
      <c r="L13" s="112">
        <f>F13/4060.02*100</f>
        <v>110.14921108763012</v>
      </c>
      <c r="M13" s="111">
        <f>E13-червень!E13</f>
        <v>2180</v>
      </c>
      <c r="N13" s="179">
        <f>F13-червень!F13</f>
        <v>19.470000000000255</v>
      </c>
      <c r="O13" s="112">
        <f t="shared" si="4"/>
        <v>-2160.5299999999997</v>
      </c>
      <c r="P13" s="198">
        <f t="shared" si="5"/>
        <v>0.8931192660550575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2400.61</v>
      </c>
      <c r="G14" s="109">
        <f t="shared" si="0"/>
        <v>-1357.4299999999998</v>
      </c>
      <c r="H14" s="32">
        <f t="shared" si="1"/>
        <v>63.87930942725464</v>
      </c>
      <c r="I14" s="110">
        <f t="shared" si="2"/>
        <v>-3959.39</v>
      </c>
      <c r="J14" s="110">
        <f t="shared" si="3"/>
        <v>37.745440251572326</v>
      </c>
      <c r="K14" s="112">
        <f>F14-5460.12</f>
        <v>-3059.5099999999998</v>
      </c>
      <c r="L14" s="112">
        <f>F14/5460.12*100</f>
        <v>43.96624982601116</v>
      </c>
      <c r="M14" s="111">
        <f>E14-червень!E14</f>
        <v>620</v>
      </c>
      <c r="N14" s="179">
        <f>F14-червень!F14</f>
        <v>0</v>
      </c>
      <c r="O14" s="112">
        <f t="shared" si="4"/>
        <v>-620</v>
      </c>
      <c r="P14" s="198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44557.5</v>
      </c>
      <c r="G19" s="190">
        <f t="shared" si="0"/>
        <v>-14202.900000000001</v>
      </c>
      <c r="H19" s="197">
        <f t="shared" si="1"/>
        <v>75.82912982212511</v>
      </c>
      <c r="I19" s="198">
        <f t="shared" si="2"/>
        <v>-65342.5</v>
      </c>
      <c r="J19" s="198">
        <f t="shared" si="3"/>
        <v>40.543676069153776</v>
      </c>
      <c r="K19" s="209">
        <f>F19-30116.49</f>
        <v>14441.009999999998</v>
      </c>
      <c r="L19" s="209">
        <f>F19/30116.49*100</f>
        <v>147.95050817674965</v>
      </c>
      <c r="M19" s="197">
        <f>E19-червень!E19</f>
        <v>10900</v>
      </c>
      <c r="N19" s="200">
        <f>F19-червень!F19</f>
        <v>45.4800000000032</v>
      </c>
      <c r="O19" s="201">
        <f t="shared" si="4"/>
        <v>-10854.519999999997</v>
      </c>
      <c r="P19" s="198">
        <f aca="true" t="shared" si="6" ref="P19:P24">N19/M19*100</f>
        <v>0.41724770642204767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162876.26999999996</v>
      </c>
      <c r="G20" s="190">
        <f t="shared" si="0"/>
        <v>-13915.340000000026</v>
      </c>
      <c r="H20" s="197">
        <f t="shared" si="1"/>
        <v>92.12895906089659</v>
      </c>
      <c r="I20" s="198">
        <f t="shared" si="2"/>
        <v>-108063.73000000004</v>
      </c>
      <c r="J20" s="198">
        <f t="shared" si="3"/>
        <v>60.11525429984496</v>
      </c>
      <c r="K20" s="198">
        <f>F20-100444.36</f>
        <v>62431.90999999996</v>
      </c>
      <c r="L20" s="198">
        <f>F20/100444.36*100</f>
        <v>162.15571486542396</v>
      </c>
      <c r="M20" s="197">
        <f>M21+M29+M30+M31</f>
        <v>28570.5</v>
      </c>
      <c r="N20" s="200">
        <f>F20-червень!F20</f>
        <v>3734.609999999957</v>
      </c>
      <c r="O20" s="201">
        <f t="shared" si="4"/>
        <v>-24835.890000000043</v>
      </c>
      <c r="P20" s="198">
        <f t="shared" si="6"/>
        <v>13.071559825694184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87331.65</v>
      </c>
      <c r="G21" s="190">
        <f t="shared" si="0"/>
        <v>-9277.01000000001</v>
      </c>
      <c r="H21" s="197">
        <f t="shared" si="1"/>
        <v>90.39733083969904</v>
      </c>
      <c r="I21" s="198">
        <f t="shared" si="2"/>
        <v>-74068.35</v>
      </c>
      <c r="J21" s="198">
        <f t="shared" si="3"/>
        <v>54.10882899628252</v>
      </c>
      <c r="K21" s="198">
        <f>F21-54757.32</f>
        <v>32574.329999999994</v>
      </c>
      <c r="L21" s="198">
        <f>F21/54757.32*100</f>
        <v>159.4885396144296</v>
      </c>
      <c r="M21" s="197">
        <f>M22+M25+M26</f>
        <v>18465.3</v>
      </c>
      <c r="N21" s="200">
        <f>F21-червень!F21</f>
        <v>1337.2599999999948</v>
      </c>
      <c r="O21" s="201">
        <f t="shared" si="4"/>
        <v>-17128.040000000005</v>
      </c>
      <c r="P21" s="198">
        <f t="shared" si="6"/>
        <v>7.242016105885065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9546.4</v>
      </c>
      <c r="G22" s="212">
        <f t="shared" si="0"/>
        <v>-3045.2000000000007</v>
      </c>
      <c r="H22" s="214">
        <f t="shared" si="1"/>
        <v>75.8156231138219</v>
      </c>
      <c r="I22" s="215">
        <f t="shared" si="2"/>
        <v>-8953.6</v>
      </c>
      <c r="J22" s="215">
        <f t="shared" si="3"/>
        <v>51.60216216216216</v>
      </c>
      <c r="K22" s="216">
        <f>F22-4957.1</f>
        <v>4589.299999999999</v>
      </c>
      <c r="L22" s="216">
        <f>F22/4957.1*100</f>
        <v>192.58033931129086</v>
      </c>
      <c r="M22" s="214">
        <f>E22-червень!E22</f>
        <v>3980</v>
      </c>
      <c r="N22" s="217">
        <f>F22-червень!F22</f>
        <v>312.8099999999995</v>
      </c>
      <c r="O22" s="218">
        <f t="shared" si="4"/>
        <v>-3667.1900000000005</v>
      </c>
      <c r="P22" s="215">
        <f t="shared" si="6"/>
        <v>7.859547738693455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346.97</v>
      </c>
      <c r="G23" s="241">
        <f t="shared" si="0"/>
        <v>-342.13</v>
      </c>
      <c r="H23" s="242">
        <f t="shared" si="1"/>
        <v>50.35118270207517</v>
      </c>
      <c r="I23" s="243">
        <f t="shared" si="2"/>
        <v>-1653.03</v>
      </c>
      <c r="J23" s="243">
        <f t="shared" si="3"/>
        <v>17.3485</v>
      </c>
      <c r="K23" s="244">
        <f>F23-284.18</f>
        <v>62.79000000000002</v>
      </c>
      <c r="L23" s="244">
        <f>F23/284.18*100</f>
        <v>122.09515096065874</v>
      </c>
      <c r="M23" s="239">
        <f>E23-червень!E23</f>
        <v>300</v>
      </c>
      <c r="N23" s="239">
        <f>F23-червень!F23</f>
        <v>4.8700000000000045</v>
      </c>
      <c r="O23" s="240">
        <f t="shared" si="4"/>
        <v>-295.13</v>
      </c>
      <c r="P23" s="240">
        <f t="shared" si="6"/>
        <v>1.6233333333333348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8917.92</v>
      </c>
      <c r="G24" s="241">
        <f t="shared" si="0"/>
        <v>-2984.58</v>
      </c>
      <c r="H24" s="242">
        <f t="shared" si="1"/>
        <v>74.92476370510397</v>
      </c>
      <c r="I24" s="243">
        <f t="shared" si="2"/>
        <v>-7582.08</v>
      </c>
      <c r="J24" s="243">
        <f t="shared" si="3"/>
        <v>54.047999999999995</v>
      </c>
      <c r="K24" s="244">
        <f>F24-4672.92</f>
        <v>4245</v>
      </c>
      <c r="L24" s="244">
        <f>F24/4672.92*100</f>
        <v>190.84255668832336</v>
      </c>
      <c r="M24" s="239">
        <f>E24-червень!E24</f>
        <v>3680</v>
      </c>
      <c r="N24" s="239">
        <f>F24-червень!F24</f>
        <v>26.43000000000029</v>
      </c>
      <c r="O24" s="240">
        <f t="shared" si="4"/>
        <v>-3653.5699999999997</v>
      </c>
      <c r="P24" s="240">
        <f t="shared" si="6"/>
        <v>0.7182065217391383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435.05</v>
      </c>
      <c r="G25" s="212">
        <f t="shared" si="0"/>
        <v>-258.09</v>
      </c>
      <c r="H25" s="214">
        <f t="shared" si="1"/>
        <v>62.765097960008084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E25-червень!E25</f>
        <v>416.3</v>
      </c>
      <c r="N25" s="217">
        <f>F25-червень!F25</f>
        <v>0</v>
      </c>
      <c r="O25" s="218">
        <f t="shared" si="4"/>
        <v>-416.3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77350.2</v>
      </c>
      <c r="G26" s="212">
        <f t="shared" si="0"/>
        <v>-5973.720000000001</v>
      </c>
      <c r="H26" s="214">
        <f t="shared" si="1"/>
        <v>92.8307261588269</v>
      </c>
      <c r="I26" s="215">
        <f t="shared" si="2"/>
        <v>-62749.8</v>
      </c>
      <c r="J26" s="215">
        <f t="shared" si="3"/>
        <v>55.210706638115624</v>
      </c>
      <c r="K26" s="216">
        <f>F26-49589.53</f>
        <v>27760.67</v>
      </c>
      <c r="L26" s="216">
        <f>F26/49589.53*100</f>
        <v>155.98090967992638</v>
      </c>
      <c r="M26" s="214">
        <f>E26-червень!E26</f>
        <v>14069</v>
      </c>
      <c r="N26" s="217">
        <f>F26-червень!F26</f>
        <v>1024.449999999997</v>
      </c>
      <c r="O26" s="218">
        <f t="shared" si="4"/>
        <v>-13044.550000000003</v>
      </c>
      <c r="P26" s="215">
        <f>N26/M26*100</f>
        <v>7.281612054872394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23828.98</v>
      </c>
      <c r="G27" s="241">
        <f t="shared" si="0"/>
        <v>-135.77000000000044</v>
      </c>
      <c r="H27" s="242">
        <f t="shared" si="1"/>
        <v>99.433459560396</v>
      </c>
      <c r="I27" s="243">
        <f t="shared" si="2"/>
        <v>-14228.02</v>
      </c>
      <c r="J27" s="243">
        <f t="shared" si="3"/>
        <v>62.613921223428015</v>
      </c>
      <c r="K27" s="244">
        <f>F27-12926</f>
        <v>10902.98</v>
      </c>
      <c r="L27" s="244">
        <f>F27/12926*100</f>
        <v>184.3492186291196</v>
      </c>
      <c r="M27" s="239">
        <f>E27-червень!E27</f>
        <v>4535</v>
      </c>
      <c r="N27" s="239">
        <f>F27-червень!F27</f>
        <v>92.13000000000102</v>
      </c>
      <c r="O27" s="240">
        <f t="shared" si="4"/>
        <v>-4442.869999999999</v>
      </c>
      <c r="P27" s="240">
        <f>N27/M27*100</f>
        <v>2.031532524807079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52773.91</v>
      </c>
      <c r="G28" s="241">
        <f t="shared" si="0"/>
        <v>-6585.259999999995</v>
      </c>
      <c r="H28" s="242">
        <f t="shared" si="1"/>
        <v>88.90607803309919</v>
      </c>
      <c r="I28" s="243">
        <f t="shared" si="2"/>
        <v>42730.91</v>
      </c>
      <c r="J28" s="243">
        <f t="shared" si="3"/>
        <v>525.4795379866574</v>
      </c>
      <c r="K28" s="244">
        <f>F28-36663.53</f>
        <v>16110.380000000005</v>
      </c>
      <c r="L28" s="244">
        <f>F28/36663.53*100</f>
        <v>143.94115896641705</v>
      </c>
      <c r="M28" s="239">
        <f>E28-червень!E28</f>
        <v>9534</v>
      </c>
      <c r="N28" s="239">
        <f>F28-червень!F28</f>
        <v>185.02000000000407</v>
      </c>
      <c r="O28" s="240">
        <f t="shared" si="4"/>
        <v>-9348.979999999996</v>
      </c>
      <c r="P28" s="240">
        <f>N28/M28*100</f>
        <v>1.9406335221313624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-131.7</v>
      </c>
      <c r="G30" s="190">
        <f t="shared" si="0"/>
        <v>-131.7</v>
      </c>
      <c r="H30" s="197"/>
      <c r="I30" s="198">
        <f t="shared" si="2"/>
        <v>-131.7</v>
      </c>
      <c r="J30" s="198"/>
      <c r="K30" s="198">
        <f>F30-(-403.36)</f>
        <v>271.66</v>
      </c>
      <c r="L30" s="198">
        <f>F30/(-403.36)*100</f>
        <v>32.65073383577945</v>
      </c>
      <c r="M30" s="197">
        <f>E30-червень!E30</f>
        <v>0</v>
      </c>
      <c r="N30" s="200">
        <f>F30-червень!F30</f>
        <v>-6.659999999999982</v>
      </c>
      <c r="O30" s="201">
        <f t="shared" si="4"/>
        <v>-6.659999999999982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75620.7</v>
      </c>
      <c r="G31" s="202">
        <f t="shared" si="0"/>
        <v>-4521.3399999999965</v>
      </c>
      <c r="H31" s="204">
        <f t="shared" si="1"/>
        <v>94.35834176419768</v>
      </c>
      <c r="I31" s="205">
        <f t="shared" si="2"/>
        <v>-33842.3</v>
      </c>
      <c r="J31" s="205">
        <f t="shared" si="3"/>
        <v>69.08334323013256</v>
      </c>
      <c r="K31" s="219">
        <f>F31-46052.97</f>
        <v>29567.729999999996</v>
      </c>
      <c r="L31" s="219">
        <f>F31/46052.97*100</f>
        <v>164.2037419085023</v>
      </c>
      <c r="M31" s="197">
        <f>E31-червень!E31</f>
        <v>10100</v>
      </c>
      <c r="N31" s="200">
        <f>F31-червень!F31</f>
        <v>2404.0099999999948</v>
      </c>
      <c r="O31" s="207">
        <f t="shared" si="4"/>
        <v>-7695.990000000005</v>
      </c>
      <c r="P31" s="205">
        <f>N31/M31*100</f>
        <v>23.80207920792074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E32-червень!E32</f>
        <v>0</v>
      </c>
      <c r="N32" s="179">
        <f>F32-червень!F32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18346.62</v>
      </c>
      <c r="G33" s="109">
        <f t="shared" si="0"/>
        <v>-1349.3500000000022</v>
      </c>
      <c r="H33" s="111">
        <f t="shared" si="1"/>
        <v>93.1491061369407</v>
      </c>
      <c r="I33" s="110">
        <f t="shared" si="2"/>
        <v>-9253.380000000001</v>
      </c>
      <c r="J33" s="110">
        <f t="shared" si="3"/>
        <v>66.47326086956521</v>
      </c>
      <c r="K33" s="142">
        <f>F33-11423.16</f>
        <v>6923.459999999999</v>
      </c>
      <c r="L33" s="142">
        <f>F33/11423.16*100</f>
        <v>160.60897334888068</v>
      </c>
      <c r="M33" s="111">
        <f>E33-червень!E33</f>
        <v>2000</v>
      </c>
      <c r="N33" s="179">
        <f>F33-червень!F33</f>
        <v>33.55999999999767</v>
      </c>
      <c r="O33" s="112">
        <f t="shared" si="4"/>
        <v>-1966.4400000000023</v>
      </c>
      <c r="P33" s="110">
        <f>N33/M33*100</f>
        <v>1.6779999999998838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55180.13</v>
      </c>
      <c r="G34" s="109">
        <f t="shared" si="0"/>
        <v>-5255.950000000004</v>
      </c>
      <c r="H34" s="111">
        <f t="shared" si="1"/>
        <v>91.30329101424182</v>
      </c>
      <c r="I34" s="110">
        <f t="shared" si="2"/>
        <v>-26631.870000000003</v>
      </c>
      <c r="J34" s="110">
        <f t="shared" si="3"/>
        <v>67.44747714271745</v>
      </c>
      <c r="K34" s="142">
        <f>F34-34622.85</f>
        <v>20557.28</v>
      </c>
      <c r="L34" s="142">
        <f>F34/34622.85*100</f>
        <v>159.37489259260863</v>
      </c>
      <c r="M34" s="111">
        <f>E34-червень!E34</f>
        <v>8100</v>
      </c>
      <c r="N34" s="179">
        <f>F34-червень!F34</f>
        <v>290.6800000000003</v>
      </c>
      <c r="O34" s="112">
        <f t="shared" si="4"/>
        <v>-7809.32</v>
      </c>
      <c r="P34" s="110">
        <f>N34/M34*100</f>
        <v>3.588641975308646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33695.06</v>
      </c>
      <c r="G37" s="191">
        <f>G38+G39+G40+G41+G42+G44+G46+G47+G48+G49+G50+G55+G56+G60</f>
        <v>8535.43</v>
      </c>
      <c r="H37" s="192">
        <f>F37/E37*100</f>
        <v>133.99753360669658</v>
      </c>
      <c r="I37" s="193">
        <f>F37-D37</f>
        <v>-9124.940000000002</v>
      </c>
      <c r="J37" s="193">
        <f>F37/D37*100</f>
        <v>78.69000467071461</v>
      </c>
      <c r="K37" s="191">
        <f>F37-15873</f>
        <v>17822.059999999998</v>
      </c>
      <c r="L37" s="191">
        <f>F37/15873*100</f>
        <v>212.27909027909027</v>
      </c>
      <c r="M37" s="191">
        <f>M38+M39+M40+M41+M42+M44+M46+M47+M48+M49+M50+M55+M56+M60</f>
        <v>3647.9999999999995</v>
      </c>
      <c r="N37" s="191">
        <f>N38+N39+N40+N41+N42+N44+N46+N47+N48+N49+N50+N55+N56+N60+N43</f>
        <v>4434.41</v>
      </c>
      <c r="O37" s="191">
        <f>O38+O39+O40+O41+O42+O44+O46+O47+O48+O49+O50+O55+O56+O60</f>
        <v>786.4100000000007</v>
      </c>
      <c r="P37" s="191">
        <f>N37/M37*100</f>
        <v>121.55729166666667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240.17</v>
      </c>
      <c r="G38" s="202">
        <f>F38-E38</f>
        <v>170.17</v>
      </c>
      <c r="H38" s="204">
        <f aca="true" t="shared" si="7" ref="H38:H61">F38/E38*100</f>
        <v>343.09999999999997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E38-червень!E38</f>
        <v>3</v>
      </c>
      <c r="N38" s="208">
        <f>F38-червень!F38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65.8</v>
      </c>
      <c r="G42" s="202">
        <f t="shared" si="9"/>
        <v>-4.200000000000003</v>
      </c>
      <c r="H42" s="204">
        <f t="shared" si="7"/>
        <v>94</v>
      </c>
      <c r="I42" s="205">
        <f t="shared" si="10"/>
        <v>-84.2</v>
      </c>
      <c r="J42" s="205">
        <f t="shared" si="12"/>
        <v>43.86666666666667</v>
      </c>
      <c r="K42" s="205">
        <f>F42-81.62</f>
        <v>-15.820000000000007</v>
      </c>
      <c r="L42" s="205">
        <f>F42/81.62*100</f>
        <v>80.61749571183533</v>
      </c>
      <c r="M42" s="204">
        <f>E42-червень!E42</f>
        <v>10</v>
      </c>
      <c r="N42" s="208">
        <f>F42-червень!F42</f>
        <v>4.829999999999998</v>
      </c>
      <c r="O42" s="207">
        <f t="shared" si="11"/>
        <v>-5.170000000000002</v>
      </c>
      <c r="P42" s="205">
        <f t="shared" si="8"/>
        <v>48.29999999999998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E43-червень!E43</f>
        <v>0</v>
      </c>
      <c r="N43" s="208">
        <f>F43-червень!F43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189.2</v>
      </c>
      <c r="G44" s="202">
        <f t="shared" si="9"/>
        <v>141.2</v>
      </c>
      <c r="H44" s="204">
        <f t="shared" si="7"/>
        <v>394.16666666666663</v>
      </c>
      <c r="I44" s="205">
        <f t="shared" si="10"/>
        <v>99.19999999999999</v>
      </c>
      <c r="J44" s="205">
        <f t="shared" si="12"/>
        <v>210.22222222222223</v>
      </c>
      <c r="K44" s="205">
        <f>F44-0</f>
        <v>189.2</v>
      </c>
      <c r="L44" s="205"/>
      <c r="M44" s="204">
        <f>E44-червень!E44</f>
        <v>8</v>
      </c>
      <c r="N44" s="208">
        <f>F44-червень!F44</f>
        <v>21.119999999999976</v>
      </c>
      <c r="O44" s="207">
        <f t="shared" si="11"/>
        <v>13.119999999999976</v>
      </c>
      <c r="P44" s="205">
        <f t="shared" si="8"/>
        <v>263.9999999999997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5160.7</v>
      </c>
      <c r="G46" s="202">
        <f t="shared" si="9"/>
        <v>-178.32000000000062</v>
      </c>
      <c r="H46" s="204">
        <f t="shared" si="7"/>
        <v>96.6600612097351</v>
      </c>
      <c r="I46" s="205">
        <f t="shared" si="10"/>
        <v>-4739.3</v>
      </c>
      <c r="J46" s="205">
        <f t="shared" si="12"/>
        <v>52.12828282828282</v>
      </c>
      <c r="K46" s="205">
        <f>F46-4927.6</f>
        <v>233.09999999999945</v>
      </c>
      <c r="L46" s="205">
        <f>F46/4927.6*100</f>
        <v>104.73049760532508</v>
      </c>
      <c r="M46" s="204">
        <f>E46-червень!E46</f>
        <v>800</v>
      </c>
      <c r="N46" s="208">
        <f>F46-червень!F46</f>
        <v>159.63999999999942</v>
      </c>
      <c r="O46" s="207">
        <f t="shared" si="11"/>
        <v>-640.3600000000006</v>
      </c>
      <c r="P46" s="205">
        <f t="shared" si="8"/>
        <v>19.954999999999927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78</v>
      </c>
      <c r="G47" s="202">
        <f t="shared" si="9"/>
        <v>-702</v>
      </c>
      <c r="H47" s="204">
        <f t="shared" si="7"/>
        <v>10</v>
      </c>
      <c r="I47" s="205">
        <f t="shared" si="10"/>
        <v>-1422</v>
      </c>
      <c r="J47" s="205">
        <f t="shared" si="12"/>
        <v>5.2</v>
      </c>
      <c r="K47" s="205">
        <f>F47-0</f>
        <v>78</v>
      </c>
      <c r="L47" s="205"/>
      <c r="M47" s="204">
        <f>E47-червень!E47</f>
        <v>130</v>
      </c>
      <c r="N47" s="208">
        <f>F47-червень!F47</f>
        <v>9.079999999999998</v>
      </c>
      <c r="O47" s="207">
        <f t="shared" si="11"/>
        <v>-120.92</v>
      </c>
      <c r="P47" s="205">
        <f t="shared" si="8"/>
        <v>6.984615384615384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3254.4</v>
      </c>
      <c r="G50" s="202">
        <f t="shared" si="9"/>
        <v>-617.79</v>
      </c>
      <c r="H50" s="204">
        <f t="shared" si="7"/>
        <v>84.04546264516979</v>
      </c>
      <c r="I50" s="205">
        <f t="shared" si="10"/>
        <v>-4045.6</v>
      </c>
      <c r="J50" s="205">
        <f t="shared" si="12"/>
        <v>44.58082191780822</v>
      </c>
      <c r="K50" s="205">
        <f>F50-4033.24</f>
        <v>-778.8399999999997</v>
      </c>
      <c r="L50" s="205">
        <f>F50/4033.24*100</f>
        <v>80.68947050014381</v>
      </c>
      <c r="M50" s="204">
        <f>E50-червень!E50</f>
        <v>653</v>
      </c>
      <c r="N50" s="208">
        <f>F50-червень!F50</f>
        <v>159.76999999999998</v>
      </c>
      <c r="O50" s="207">
        <f t="shared" si="11"/>
        <v>-493.23</v>
      </c>
      <c r="P50" s="205">
        <f t="shared" si="8"/>
        <v>24.467075038284836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443.4</v>
      </c>
      <c r="G51" s="36">
        <f t="shared" si="9"/>
        <v>-200.59000000000003</v>
      </c>
      <c r="H51" s="32">
        <f t="shared" si="7"/>
        <v>68.85200080746596</v>
      </c>
      <c r="I51" s="110">
        <f t="shared" si="10"/>
        <v>-656.6</v>
      </c>
      <c r="J51" s="110">
        <f t="shared" si="12"/>
        <v>40.309090909090905</v>
      </c>
      <c r="K51" s="110">
        <f>F51-582.74</f>
        <v>-139.34000000000003</v>
      </c>
      <c r="L51" s="110">
        <f>F51/582.74*100</f>
        <v>76.08882177300339</v>
      </c>
      <c r="M51" s="111">
        <f>E51-червень!E51</f>
        <v>92</v>
      </c>
      <c r="N51" s="179">
        <f>F51-червень!F51</f>
        <v>22.72999999999996</v>
      </c>
      <c r="O51" s="112">
        <f t="shared" si="11"/>
        <v>-69.27000000000004</v>
      </c>
      <c r="P51" s="132">
        <f t="shared" si="8"/>
        <v>24.706521739130395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0.24</v>
      </c>
      <c r="G52" s="36">
        <f t="shared" si="9"/>
        <v>-5.8</v>
      </c>
      <c r="H52" s="32">
        <f t="shared" si="7"/>
        <v>3.9735099337748347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E52-червень!E52</f>
        <v>1</v>
      </c>
      <c r="N52" s="179">
        <f>F52-червень!F52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2810.7</v>
      </c>
      <c r="G54" s="36">
        <f t="shared" si="9"/>
        <v>-411.47000000000025</v>
      </c>
      <c r="H54" s="32">
        <f t="shared" si="7"/>
        <v>87.23003441779917</v>
      </c>
      <c r="I54" s="110">
        <f t="shared" si="10"/>
        <v>-3343.3</v>
      </c>
      <c r="J54" s="110">
        <f t="shared" si="12"/>
        <v>45.67273318167045</v>
      </c>
      <c r="K54" s="110">
        <f>F54-3404.6</f>
        <v>-593.9000000000001</v>
      </c>
      <c r="L54" s="110">
        <f>F54/3404.6*100</f>
        <v>82.55595370968689</v>
      </c>
      <c r="M54" s="111">
        <f>E54-червень!E54</f>
        <v>560</v>
      </c>
      <c r="N54" s="179">
        <f>F54-червень!F54</f>
        <v>136.98999999999978</v>
      </c>
      <c r="O54" s="112">
        <f t="shared" si="11"/>
        <v>-423.0100000000002</v>
      </c>
      <c r="P54" s="132">
        <f t="shared" si="8"/>
        <v>24.462499999999963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2806.8</v>
      </c>
      <c r="G56" s="202">
        <f t="shared" si="9"/>
        <v>168.82000000000016</v>
      </c>
      <c r="H56" s="204">
        <f t="shared" si="7"/>
        <v>106.39959362845815</v>
      </c>
      <c r="I56" s="205">
        <f t="shared" si="10"/>
        <v>-1993.1999999999998</v>
      </c>
      <c r="J56" s="205">
        <f t="shared" si="12"/>
        <v>58.475</v>
      </c>
      <c r="K56" s="205">
        <f>F56-2236.15</f>
        <v>570.6500000000001</v>
      </c>
      <c r="L56" s="205">
        <f>F56/2236.15*100</f>
        <v>125.5193077387474</v>
      </c>
      <c r="M56" s="204">
        <f>E56-червень!E56</f>
        <v>370</v>
      </c>
      <c r="N56" s="208">
        <f>F56-червень!F56</f>
        <v>97.66000000000031</v>
      </c>
      <c r="O56" s="207">
        <f t="shared" si="11"/>
        <v>-272.3399999999997</v>
      </c>
      <c r="P56" s="205">
        <f t="shared" si="8"/>
        <v>26.39459459459468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629.6</v>
      </c>
      <c r="G58" s="202"/>
      <c r="H58" s="204"/>
      <c r="I58" s="205"/>
      <c r="J58" s="205"/>
      <c r="K58" s="206">
        <f>F58-577.4</f>
        <v>52.200000000000045</v>
      </c>
      <c r="L58" s="206">
        <f>F58/577.4*100</f>
        <v>109.04052649809492</v>
      </c>
      <c r="M58" s="236"/>
      <c r="N58" s="220">
        <f>F58-червень!F58</f>
        <v>37.34000000000003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78.2</v>
      </c>
      <c r="G60" s="202">
        <f t="shared" si="9"/>
        <v>58.2</v>
      </c>
      <c r="H60" s="204">
        <f t="shared" si="7"/>
        <v>391</v>
      </c>
      <c r="I60" s="205">
        <f t="shared" si="10"/>
        <v>58.2</v>
      </c>
      <c r="J60" s="205">
        <f t="shared" si="12"/>
        <v>391</v>
      </c>
      <c r="K60" s="205">
        <f>F60-0.6</f>
        <v>77.60000000000001</v>
      </c>
      <c r="L60" s="205">
        <f>F60/0.6*100</f>
        <v>13033.333333333334</v>
      </c>
      <c r="M60" s="204">
        <f>E60-червень!E60</f>
        <v>0</v>
      </c>
      <c r="N60" s="208">
        <f>F60-червень!F60</f>
        <v>37.150000000000006</v>
      </c>
      <c r="O60" s="207">
        <f t="shared" si="11"/>
        <v>37.150000000000006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F62-червень!F62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501944.16</v>
      </c>
      <c r="G63" s="191">
        <f>F63-E63</f>
        <v>-22752.65000000008</v>
      </c>
      <c r="H63" s="192">
        <f>F63/E63*100</f>
        <v>95.66365764640345</v>
      </c>
      <c r="I63" s="193">
        <f>F63-D63</f>
        <v>-381956.44</v>
      </c>
      <c r="J63" s="193">
        <f>F63/D63*100</f>
        <v>56.787398945085</v>
      </c>
      <c r="K63" s="193">
        <f>F63-320998.67</f>
        <v>180945.49</v>
      </c>
      <c r="L63" s="193">
        <f>F63/320998.67*100</f>
        <v>156.36954508253882</v>
      </c>
      <c r="M63" s="191">
        <f>M8+M37+M61+M62</f>
        <v>82950.80000000003</v>
      </c>
      <c r="N63" s="191">
        <f>N8+N37+N61+N62</f>
        <v>7158.1599999999635</v>
      </c>
      <c r="O63" s="195">
        <f>N63-M63</f>
        <v>-75792.64000000007</v>
      </c>
      <c r="P63" s="193">
        <f>N63/M63*100</f>
        <v>8.629404418040526</v>
      </c>
      <c r="Q63" s="28">
        <f>N63-34768</f>
        <v>-27609.840000000037</v>
      </c>
      <c r="R63" s="128">
        <f>N63/34768</f>
        <v>0.20588357109986088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1042.03</v>
      </c>
      <c r="G72" s="202">
        <f aca="true" t="shared" si="13" ref="G72:G82">F72-E72</f>
        <v>-757.97</v>
      </c>
      <c r="H72" s="204"/>
      <c r="I72" s="207">
        <f aca="true" t="shared" si="14" ref="I72:I82">F72-D72</f>
        <v>-3157.9700000000003</v>
      </c>
      <c r="J72" s="207">
        <f>F72/D72*100</f>
        <v>24.810238095238095</v>
      </c>
      <c r="K72" s="207">
        <f>F72-194</f>
        <v>848.03</v>
      </c>
      <c r="L72" s="207">
        <f>F72/194*100</f>
        <v>537.1288659793814</v>
      </c>
      <c r="M72" s="204">
        <f>E72-червень!E72</f>
        <v>387</v>
      </c>
      <c r="N72" s="208">
        <f>F72-червень!F72</f>
        <v>0.009999999999990905</v>
      </c>
      <c r="O72" s="207">
        <f aca="true" t="shared" si="15" ref="O72:O85">N72-M72</f>
        <v>-386.99</v>
      </c>
      <c r="P72" s="207">
        <f>N72/M72*100</f>
        <v>0.0025839793281630247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936.04</v>
      </c>
      <c r="G73" s="202">
        <f t="shared" si="13"/>
        <v>-2391.27</v>
      </c>
      <c r="H73" s="204">
        <f>F73/E73*100</f>
        <v>28.132034586497802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E73-червень!E73</f>
        <v>1093.6</v>
      </c>
      <c r="N73" s="208">
        <f>F73-червень!F73</f>
        <v>0</v>
      </c>
      <c r="O73" s="207">
        <f t="shared" si="15"/>
        <v>-1093.6</v>
      </c>
      <c r="P73" s="207">
        <f>N73/M73*100</f>
        <v>0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9374.51</v>
      </c>
      <c r="G74" s="202">
        <f t="shared" si="13"/>
        <v>7279.66</v>
      </c>
      <c r="H74" s="204">
        <f>F74/E74*100</f>
        <v>447.50268515645513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E74-червень!E74</f>
        <v>302</v>
      </c>
      <c r="N74" s="208">
        <f>F74-червень!F74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11358.58</v>
      </c>
      <c r="G76" s="226">
        <f t="shared" si="13"/>
        <v>4129.42</v>
      </c>
      <c r="H76" s="227">
        <f>F76/E76*100</f>
        <v>157.1217126194468</v>
      </c>
      <c r="I76" s="228">
        <f t="shared" si="14"/>
        <v>-6312.42</v>
      </c>
      <c r="J76" s="228">
        <f>F76/D76*100</f>
        <v>64.27808273442363</v>
      </c>
      <c r="K76" s="228">
        <f>F76-5269.49</f>
        <v>6089.09</v>
      </c>
      <c r="L76" s="228">
        <f>F76/5269.49*100</f>
        <v>215.5536873587387</v>
      </c>
      <c r="M76" s="226">
        <f>M72+M73+M74+M75</f>
        <v>1783.6</v>
      </c>
      <c r="N76" s="230">
        <f>N72+N73+N74+N75</f>
        <v>0.009999999999990905</v>
      </c>
      <c r="O76" s="228">
        <f t="shared" si="15"/>
        <v>-1783.59</v>
      </c>
      <c r="P76" s="228">
        <f>N76/M76*100</f>
        <v>0.0005606638259694386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E77-червень!E77</f>
        <v>0</v>
      </c>
      <c r="N77" s="208">
        <f>F77-червень!F77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4891.5</v>
      </c>
      <c r="G79" s="202">
        <f t="shared" si="13"/>
        <v>-235.80000000000018</v>
      </c>
      <c r="H79" s="204">
        <f>F79/E79*100</f>
        <v>95.40108829208354</v>
      </c>
      <c r="I79" s="207">
        <f t="shared" si="14"/>
        <v>-4608.5</v>
      </c>
      <c r="J79" s="207">
        <f>F79/D79*100</f>
        <v>51.48947368421053</v>
      </c>
      <c r="K79" s="207">
        <f>F79-0</f>
        <v>4891.5</v>
      </c>
      <c r="L79" s="207"/>
      <c r="M79" s="204">
        <f>E79-червень!E79</f>
        <v>10</v>
      </c>
      <c r="N79" s="208">
        <f>F79-червень!F79</f>
        <v>1.0600000000004002</v>
      </c>
      <c r="O79" s="207">
        <f>N79-M79</f>
        <v>-8.9399999999996</v>
      </c>
      <c r="P79" s="231">
        <f>N79/M79*100</f>
        <v>10.600000000004002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4897.5</v>
      </c>
      <c r="G81" s="224">
        <f>G77+G80+G78+G79</f>
        <v>-229.80000000000018</v>
      </c>
      <c r="H81" s="227">
        <f>F81/E81*100</f>
        <v>95.518108946229</v>
      </c>
      <c r="I81" s="228">
        <f t="shared" si="14"/>
        <v>-4603.5</v>
      </c>
      <c r="J81" s="228">
        <f>F81/D81*100</f>
        <v>51.54720555730976</v>
      </c>
      <c r="K81" s="228">
        <f>F81-1.06</f>
        <v>4896.44</v>
      </c>
      <c r="L81" s="228">
        <f>F81/1.06*100</f>
        <v>462028.30188679247</v>
      </c>
      <c r="M81" s="226">
        <f>M77+M80+M78+M79</f>
        <v>10</v>
      </c>
      <c r="N81" s="230">
        <f>N77+N80+N78+N79</f>
        <v>1.0600000000004002</v>
      </c>
      <c r="O81" s="226">
        <f>O77+O80+O78+O79</f>
        <v>-8.9399999999996</v>
      </c>
      <c r="P81" s="228">
        <f>N81/M81*100</f>
        <v>10.600000000004002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18.25</v>
      </c>
      <c r="G82" s="202">
        <f t="shared" si="13"/>
        <v>-2.0500000000000007</v>
      </c>
      <c r="H82" s="204">
        <f>F82/E82*100</f>
        <v>89.90147783251231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E82-червень!E82</f>
        <v>0.6000000000000014</v>
      </c>
      <c r="N82" s="208">
        <f>F82-червень!F82</f>
        <v>0</v>
      </c>
      <c r="O82" s="207">
        <f t="shared" si="15"/>
        <v>-0.6000000000000014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16272.039999999999</v>
      </c>
      <c r="G84" s="233">
        <f>F84-E84</f>
        <v>3895.279999999999</v>
      </c>
      <c r="H84" s="234">
        <f>F84/E84*100</f>
        <v>131.4725340072846</v>
      </c>
      <c r="I84" s="235">
        <f>F84-D84</f>
        <v>-10942.960000000001</v>
      </c>
      <c r="J84" s="235">
        <f>F84/D84*100</f>
        <v>59.79070365607202</v>
      </c>
      <c r="K84" s="235">
        <f>F84-5259.67</f>
        <v>11012.369999999999</v>
      </c>
      <c r="L84" s="235">
        <f>F84/5259.67*100</f>
        <v>309.37378200533493</v>
      </c>
      <c r="M84" s="232">
        <f>M70+M82+M76+M81</f>
        <v>1794.1999999999998</v>
      </c>
      <c r="N84" s="232">
        <f>N70+N82+N76+N81+N83</f>
        <v>1.070000000000391</v>
      </c>
      <c r="O84" s="235">
        <f t="shared" si="15"/>
        <v>-1793.1299999999994</v>
      </c>
      <c r="P84" s="235">
        <f>N84/M84*100</f>
        <v>0.05963660684429781</v>
      </c>
      <c r="Q84" s="28">
        <f>N84-8104.96</f>
        <v>-8103.889999999999</v>
      </c>
      <c r="R84" s="101">
        <f>N84/8104.96</f>
        <v>0.00013201792482632748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518216.19999999995</v>
      </c>
      <c r="G85" s="233">
        <f>F85-E85</f>
        <v>-18857.37000000011</v>
      </c>
      <c r="H85" s="234">
        <f>F85/E85*100</f>
        <v>96.48886650668732</v>
      </c>
      <c r="I85" s="235">
        <f>F85-D85</f>
        <v>-392899.4</v>
      </c>
      <c r="J85" s="235">
        <f>F85/D85*100</f>
        <v>56.87710758107972</v>
      </c>
      <c r="K85" s="235">
        <f>F85-320998.67-5259.67</f>
        <v>191957.85999999996</v>
      </c>
      <c r="L85" s="235">
        <f>F85/(265734.15+4325.48)*100</f>
        <v>191.88954676417202</v>
      </c>
      <c r="M85" s="233">
        <f>M63+M84</f>
        <v>84745.00000000003</v>
      </c>
      <c r="N85" s="233">
        <f>N63+N84</f>
        <v>7159.229999999964</v>
      </c>
      <c r="O85" s="235">
        <f t="shared" si="15"/>
        <v>-77585.77000000006</v>
      </c>
      <c r="P85" s="235">
        <f>N85/M85*100</f>
        <v>8.447967431706841</v>
      </c>
      <c r="Q85" s="28">
        <f>N85-42872.96</f>
        <v>-35713.73000000003</v>
      </c>
      <c r="R85" s="101">
        <f>N85/42872.96</f>
        <v>0.1669870706384622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16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4737.0400000000045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42558</v>
      </c>
      <c r="D89" s="31">
        <v>5034.9</v>
      </c>
      <c r="G89" s="4" t="s">
        <v>59</v>
      </c>
      <c r="N89" s="256"/>
      <c r="O89" s="256"/>
    </row>
    <row r="90" spans="3:15" ht="15">
      <c r="C90" s="87">
        <v>42557</v>
      </c>
      <c r="D90" s="31">
        <v>173.8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42556</v>
      </c>
      <c r="D91" s="31">
        <v>188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f>'[1]залишки  (2)'!$G$6/1000</f>
        <v>0.004730000000000001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275.74</v>
      </c>
      <c r="G96" s="73">
        <f>G44+G47+G48</f>
        <v>-576.26</v>
      </c>
      <c r="H96" s="74"/>
      <c r="I96" s="74"/>
      <c r="M96" s="31">
        <f>M44+M47+M48</f>
        <v>142</v>
      </c>
      <c r="N96" s="246">
        <f>N44+N47+N48</f>
        <v>30.199999999999974</v>
      </c>
      <c r="O96" s="31">
        <f>O44+O47+O48</f>
        <v>-111.80000000000003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18" sqref="J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21" customHeight="1">
      <c r="B2" s="292"/>
      <c r="C2" s="292"/>
      <c r="D2" s="292"/>
      <c r="E2" s="293"/>
      <c r="F2" s="294"/>
      <c r="G2" s="293"/>
      <c r="H2" s="293"/>
      <c r="I2" s="295"/>
      <c r="J2" s="293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96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178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67.5" customHeight="1">
      <c r="A5" s="273"/>
      <c r="B5" s="274"/>
      <c r="C5" s="275"/>
      <c r="D5" s="276"/>
      <c r="E5" s="283"/>
      <c r="F5" s="297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98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98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99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300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99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99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56"/>
      <c r="O89" s="256"/>
    </row>
    <row r="90" spans="3:15" ht="15">
      <c r="C90" s="87">
        <v>42550</v>
      </c>
      <c r="D90" s="31">
        <v>11029.3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42545</v>
      </c>
      <c r="D91" s="31">
        <v>6499.7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9447.89588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7">
    <mergeCell ref="A1:P1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2016-07-08T06:40:18Z</cp:lastPrinted>
  <dcterms:created xsi:type="dcterms:W3CDTF">2003-07-28T11:27:56Z</dcterms:created>
  <dcterms:modified xsi:type="dcterms:W3CDTF">2016-07-08T06:41:16Z</dcterms:modified>
  <cp:category/>
  <cp:version/>
  <cp:contentType/>
  <cp:contentStatus/>
</cp:coreProperties>
</file>